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5275AF46-989D-4B39-A2F4-977BF066FFB4}" xr6:coauthVersionLast="47" xr6:coauthVersionMax="47" xr10:uidLastSave="{00000000-0000-0000-0000-000000000000}"/>
  <bookViews>
    <workbookView xWindow="-110" yWindow="-110" windowWidth="19420" windowHeight="11500" tabRatio="681"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6" i="10" l="1"/>
  <c r="D136" i="10" s="1"/>
  <c r="R135" i="8"/>
  <c r="Q135" i="8"/>
  <c r="P135" i="8"/>
  <c r="K135" i="8"/>
  <c r="J135" i="8"/>
  <c r="I135" i="8"/>
  <c r="O135" i="8"/>
  <c r="I134" i="8"/>
  <c r="J134" i="8"/>
  <c r="K134" i="8"/>
  <c r="P134" i="8"/>
  <c r="N134" i="8"/>
  <c r="Q134" i="8" s="1"/>
  <c r="O134" i="8"/>
  <c r="R134" i="8" s="1"/>
  <c r="P133" i="8"/>
  <c r="K133" i="8"/>
  <c r="J133" i="8"/>
  <c r="I133" i="8"/>
  <c r="N133" i="8"/>
  <c r="Q133" i="8" s="1"/>
  <c r="C135" i="8" l="1"/>
  <c r="D135" i="8"/>
  <c r="D134" i="8"/>
  <c r="C134" i="8"/>
  <c r="C135" i="10" s="1"/>
  <c r="O133" i="8"/>
  <c r="R133" i="8" s="1"/>
  <c r="N132" i="8"/>
  <c r="C133" i="8" l="1"/>
  <c r="D133" i="8"/>
  <c r="O132" i="8"/>
  <c r="C134" i="10" l="1"/>
  <c r="D135" i="10" s="1"/>
  <c r="I132" i="8"/>
  <c r="J132" i="8"/>
  <c r="K132" i="8"/>
  <c r="Q132" i="8"/>
  <c r="R132" i="8"/>
  <c r="P132" i="8"/>
  <c r="N131" i="8"/>
  <c r="D132" i="8" l="1"/>
  <c r="C132" i="8"/>
  <c r="O131" i="8"/>
  <c r="I131" i="8"/>
  <c r="J131" i="8"/>
  <c r="K131" i="8"/>
  <c r="Q131" i="8"/>
  <c r="R131" i="8"/>
  <c r="P131" i="8"/>
  <c r="C133" i="10" l="1"/>
  <c r="D134" i="10" s="1"/>
  <c r="C131" i="8"/>
  <c r="D131" i="8"/>
  <c r="P130" i="8"/>
  <c r="N130" i="8"/>
  <c r="Q130" i="8" s="1"/>
  <c r="C132" i="10" l="1"/>
  <c r="D133" i="10" s="1"/>
  <c r="K130" i="8"/>
  <c r="J130" i="8"/>
  <c r="I130" i="8"/>
  <c r="C130" i="8" l="1"/>
  <c r="O130" i="8" l="1"/>
  <c r="R130" i="8" s="1"/>
  <c r="D130" i="8" s="1"/>
  <c r="C131" i="10" s="1"/>
  <c r="D132" i="10" s="1"/>
  <c r="O129" i="8" l="1"/>
  <c r="N126" i="8"/>
  <c r="N129" i="8"/>
  <c r="I129" i="8" l="1"/>
  <c r="J129" i="8"/>
  <c r="K129" i="8"/>
  <c r="Q129" i="8"/>
  <c r="R129" i="8"/>
  <c r="P129" i="8"/>
  <c r="P128" i="8"/>
  <c r="O128" i="8"/>
  <c r="R128" i="8" s="1"/>
  <c r="K128" i="8"/>
  <c r="J128" i="8"/>
  <c r="I128" i="8"/>
  <c r="C129" i="8" l="1"/>
  <c r="D129" i="8"/>
  <c r="N128" i="8"/>
  <c r="Q128" i="8" s="1"/>
  <c r="C130" i="10" l="1"/>
  <c r="D131" i="10" s="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s="1"/>
  <c r="D128" i="10" s="1"/>
  <c r="O125" i="8" l="1"/>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C118" i="10" s="1"/>
  <c r="N113" i="8"/>
  <c r="N114" i="8"/>
  <c r="N115" i="8"/>
  <c r="N116" i="8"/>
  <c r="D119" i="10" l="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3"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<sst xmlns="http://schemas.openxmlformats.org/spreadsheetml/2006/main" count="159" uniqueCount="67">
  <si>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</si>
  <si>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</si>
  <si>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</si>
  <si>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</si>
  <si>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</si>
  <si>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</si>
  <si>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</si>
  <si>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</si>
  <si>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</si>
  <si>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</si>
  <si>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</si>
  <si>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</si>
  <si>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</si>
  <si>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</si>
  <si>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</si>
  <si>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</si>
  <si>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</si>
  <si>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</si>
  <si>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</si>
  <si>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</si>
  <si>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</si>
  <si>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</si>
  <si>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</si>
  <si>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</si>
  <si>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</si>
  <si>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</si>
  <si>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</si>
  <si>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</si>
  <si>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</si>
  <si>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</si>
  <si>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</si>
  <si>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</si>
  <si>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</si>
  <si>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</si>
  <si>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</si>
  <si>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</si>
  <si>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</si>
  <si>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</si>
  <si>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</si>
  <si>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</si>
  <si>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</si>
  <si>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</si>
  <si>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</si>
  <si>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</si>
  <si>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</si>
  <si>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</si>
  <si>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</si>
  <si>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</si>
  <si>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</si>
  <si>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</si>
  <si>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</si>
  <si>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</si>
  <si>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</si>
  <si>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</si>
  <si>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</si>
  <si>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</si>
  <si>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</si>
  <si>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</si>
  <si>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Notes: * Processing costs have been updated from each of the marked months, based on changes in the cost of labour, energy and general inflation. Costs will be updated quarterly while we go through the period of high inflation</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</si>
  <si>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</si>
  <si>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</si>
  <si>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©Agriculture and Horticulture Development Board 2025. All rights reserved.</t>
  </si>
  <si>
    <r>
      <rPr>
        <b/>
        <sz val="12"/>
        <color rgb="FF575756"/>
        <rFont val="Arial"/>
        <family val="2"/>
      </rPr>
      <t xml:space="preserve">Last updated: </t>
    </r>
    <r>
      <rPr>
        <sz val="12"/>
        <color rgb="FF575756"/>
        <rFont val="Arial"/>
        <family val="2"/>
      </rPr>
      <t>24/04/2025</t>
    </r>
  </si>
  <si>
    <t>Actual Milk Price Equivalent (AMPE) and Milk for Cheese Value Equivalent (MCVE): 2020 formula</t>
  </si>
  <si>
    <t>From September 2025 the dairy market indicators have been reviewed to update costs and yields.  The old formula will continue to be published for a period no shorter than 6 months for continuity.</t>
  </si>
  <si>
    <r>
      <rPr>
        <b/>
        <sz val="12"/>
        <color rgb="FF575756"/>
        <rFont val="Arial"/>
        <family val="2"/>
      </rPr>
      <t>Last updated:</t>
    </r>
    <r>
      <rPr>
        <sz val="12"/>
        <color rgb="FF575756"/>
        <rFont val="Arial"/>
        <family val="2"/>
      </rPr>
      <t xml:space="preserve"> 26/09/2025</t>
    </r>
  </si>
  <si>
    <r>
      <rPr>
        <b/>
        <sz val="12"/>
        <color rgb="FF575756"/>
        <rFont val="Arial"/>
        <family val="2"/>
      </rPr>
      <t xml:space="preserve">Last updated: </t>
    </r>
    <r>
      <rPr>
        <sz val="12"/>
        <color rgb="FF575756"/>
        <rFont val="Arial"/>
        <family val="2"/>
      </rPr>
      <t>24/10/2025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</si>
</sst>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0">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pplyAlignment="1">
      <alignment horizontal="left" vertical="top" wrapText="1"/>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2020 formula</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'AMPE-MCVE'!$B$9:$B$134</c:f>
              <c:numCache>
                <c:formatCode>mmm\-yy</c:formatCode>
                <c:ptCount val="126"/>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numCache>
            </c:numRef>
          </c:cat>
          <c:val>
            <c:numRef>
              <c:f>'AMPE-MCVE'!$C$9:$C$134</c:f>
              <c:numCache>
                <c:formatCode>#,##0.0</c:formatCode>
                <c:ptCount val="126"/>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pt idx="122">
                  <c:v>42.641550096275942</c:v>
                </c:pt>
                <c:pt idx="123">
                  <c:v>42.469594795808753</c:v>
                </c:pt>
                <c:pt idx="124">
                  <c:v>42.160773340234179</c:v>
                </c:pt>
                <c:pt idx="125">
                  <c:v>38.781496727716878</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'AMPE-MCVE'!$B$9:$B$134</c:f>
              <c:numCache>
                <c:formatCode>mmm\-yy</c:formatCode>
                <c:ptCount val="126"/>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numCache>
            </c:numRef>
          </c:cat>
          <c:val>
            <c:numRef>
              <c:f>'AMPE-MCVE'!$D$9:$D$134</c:f>
              <c:numCache>
                <c:formatCode>#,##0.0</c:formatCode>
                <c:ptCount val="126"/>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pt idx="122">
                  <c:v>42.405954961210085</c:v>
                </c:pt>
                <c:pt idx="123">
                  <c:v>42.104960695939738</c:v>
                </c:pt>
                <c:pt idx="124">
                  <c:v>41.503896562002637</c:v>
                </c:pt>
                <c:pt idx="125">
                  <c:v>36.826536988393791</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5931"/>
          <c:min val="44835"/>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2020 formula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pt idx="122">
                  <c:v>42.45307398822326</c:v>
                </c:pt>
                <c:pt idx="123">
                  <c:v>42.177887515913547</c:v>
                </c:pt>
                <c:pt idx="124">
                  <c:v>41.635271917648943</c:v>
                </c:pt>
                <c:pt idx="125">
                  <c:v>37.217528936258411</c:v>
                </c:pt>
                <c:pt idx="126">
                  <c:v>33.16103838272236</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5931"/>
          <c:min val="4483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327342</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20900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36"/>
  <sheetViews>
    <sheetView tabSelected="1" zoomScaleNormal="100" workbookViewId="0">
      <pane xSplit="2" ySplit="9" topLeftCell="C133" activePane="bottomRight" state="frozen"/>
      <selection pane="topRight" activeCell="C1" sqref="C1"/>
      <selection pane="bottomLeft" activeCell="A10" sqref="A10"/>
      <selection pane="bottomRight" activeCell="F137" sqref="F137"/>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65</v>
      </c>
    </row>
    <row r="8" spans="1:4" ht="15.5" x14ac:dyDescent="0.3">
      <c r="B8" s="18"/>
      <c r="C8" s="96" t="s">
        <v>38</v>
      </c>
      <c r="D8" s="97"/>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row r="132" spans="2:4" ht="15.5" x14ac:dyDescent="0.3">
      <c r="B132" s="42">
        <v>45809</v>
      </c>
      <c r="C132" s="82">
        <f>(0.2*'AMPE-MCVE'!C131)+(0.8*'AMPE-MCVE'!D131)</f>
        <v>42.45307398822326</v>
      </c>
      <c r="D132" s="37">
        <f t="shared" ref="D132:D133" si="23">C132-C131</f>
        <v>-0.31700329720336384</v>
      </c>
    </row>
    <row r="133" spans="2:4" ht="15.5" x14ac:dyDescent="0.3">
      <c r="B133" s="41">
        <v>45839</v>
      </c>
      <c r="C133" s="83">
        <f>(0.2*'AMPE-MCVE'!C132)+(0.8*'AMPE-MCVE'!D132)</f>
        <v>42.177887515913547</v>
      </c>
      <c r="D133" s="34">
        <f t="shared" si="23"/>
        <v>-0.27518647230971283</v>
      </c>
    </row>
    <row r="134" spans="2:4" ht="15.5" x14ac:dyDescent="0.3">
      <c r="B134" s="42">
        <v>45870</v>
      </c>
      <c r="C134" s="82">
        <f>(0.2*'AMPE-MCVE'!C133)+(0.8*'AMPE-MCVE'!D133)</f>
        <v>41.635271917648943</v>
      </c>
      <c r="D134" s="37">
        <f t="shared" ref="D134" si="24">C134-C133</f>
        <v>-0.5426155982646037</v>
      </c>
    </row>
    <row r="135" spans="2:4" ht="15.5" x14ac:dyDescent="0.3">
      <c r="B135" s="41">
        <v>45901</v>
      </c>
      <c r="C135" s="83">
        <f>(0.2*'AMPE-MCVE'!C134)+(0.8*'AMPE-MCVE'!D134)</f>
        <v>37.217528936258411</v>
      </c>
      <c r="D135" s="34">
        <f t="shared" ref="D135" si="25">C135-C134</f>
        <v>-4.417742981390532</v>
      </c>
    </row>
    <row r="136" spans="2:4" ht="15.5" x14ac:dyDescent="0.3">
      <c r="B136" s="42">
        <v>45931</v>
      </c>
      <c r="C136" s="82">
        <f>(0.2*'AMPE-MCVE'!C135)+(0.8*'AMPE-MCVE'!D135)</f>
        <v>33.16103838272236</v>
      </c>
      <c r="D136" s="37">
        <f t="shared" ref="D136" si="26">C136-C135</f>
        <v>-4.0564905535360509</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39"/>
  <sheetViews>
    <sheetView showGridLines="0" zoomScaleNormal="100" zoomScaleSheetLayoutView="143" zoomScalePageLayoutView="123" workbookViewId="0">
      <pane xSplit="2" ySplit="8" topLeftCell="C128" activePane="bottomRight" state="frozen"/>
      <selection activeCell="B107" sqref="B107"/>
      <selection pane="topRight" activeCell="B107" sqref="B107"/>
      <selection pane="bottomLeft" activeCell="B107" sqref="B107"/>
      <selection pane="bottomRight" activeCell="J132" sqref="J132"/>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63</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66</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8" t="s">
        <v>25</v>
      </c>
      <c r="G6" s="99"/>
      <c r="H6" s="99"/>
      <c r="I6" s="99"/>
      <c r="J6" s="99"/>
      <c r="K6" s="99"/>
      <c r="L6" s="16"/>
      <c r="M6" s="100" t="s">
        <v>26</v>
      </c>
      <c r="N6" s="101"/>
      <c r="O6" s="101"/>
      <c r="P6" s="101"/>
      <c r="Q6" s="101"/>
      <c r="R6" s="101"/>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2" t="s">
        <v>1</v>
      </c>
      <c r="D8" s="103"/>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 t="shared" ref="C129:C134" si="104">I129+J129+K129</f>
        <v>42.092795711142735</v>
      </c>
      <c r="D129" s="37">
        <f t="shared" ref="D129:D130" si="105">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4"/>
        <v>42.048607074181746</v>
      </c>
      <c r="D130" s="34">
        <f t="shared" si="105"/>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4"/>
        <v>42.641550096275942</v>
      </c>
      <c r="D131" s="37">
        <f t="shared" ref="D131" si="106">P131+Q131+R131</f>
        <v>42.405954961210085</v>
      </c>
      <c r="E131" s="35"/>
      <c r="F131" s="38">
        <v>6160</v>
      </c>
      <c r="G131" s="38">
        <v>1980</v>
      </c>
      <c r="H131" s="38">
        <v>789</v>
      </c>
      <c r="I131" s="37">
        <f>(F131-'Processing costs'!C131)*100/19900</f>
        <v>29.231155778894472</v>
      </c>
      <c r="J131" s="37">
        <f>((G131-103)-'Processing costs'!E131)*100/203600</f>
        <v>0.64685658153241654</v>
      </c>
      <c r="K131" s="37">
        <f>(G131-'Processing costs'!D131-H131*8.5%)*100/10600</f>
        <v>12.763537735849056</v>
      </c>
      <c r="L131" s="35"/>
      <c r="M131" s="38">
        <v>3900</v>
      </c>
      <c r="N131" s="38">
        <f>985.01/1.167</f>
        <v>844.05312767780629</v>
      </c>
      <c r="O131" s="38">
        <f>F131-300</f>
        <v>5860</v>
      </c>
      <c r="P131" s="37">
        <f>(M131-'Processing costs'!G131)*100/9100</f>
        <v>37.846153846153847</v>
      </c>
      <c r="Q131" s="37">
        <f>(N131-'Processing costs'!H131)*100/16700</f>
        <v>1.8685816028611155</v>
      </c>
      <c r="R131" s="37">
        <f>(O131-'Processing costs'!I131)*100/205000</f>
        <v>2.6912195121951221</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4"/>
        <v>42.469594795808753</v>
      </c>
      <c r="D132" s="34">
        <f>P132+Q132+R132</f>
        <v>42.104960695939738</v>
      </c>
      <c r="E132" s="35"/>
      <c r="F132" s="36">
        <v>6150</v>
      </c>
      <c r="G132" s="36">
        <v>1970</v>
      </c>
      <c r="H132" s="36">
        <v>817</v>
      </c>
      <c r="I132" s="34">
        <f>(F132-'Processing costs'!C132)*100/19900</f>
        <v>29.180904522613066</v>
      </c>
      <c r="J132" s="34">
        <f>((G132-103)-'Processing costs'!E132)*100/203600</f>
        <v>0.64194499017681728</v>
      </c>
      <c r="K132" s="34">
        <f>(G132-'Processing costs'!D132-H132*8.5%)*100/10600</f>
        <v>12.646745283018868</v>
      </c>
      <c r="L132" s="35"/>
      <c r="M132" s="36">
        <v>3890</v>
      </c>
      <c r="N132" s="36">
        <f>941.4/1.158</f>
        <v>812.9533678756477</v>
      </c>
      <c r="O132" s="36">
        <f>F132-300</f>
        <v>5850</v>
      </c>
      <c r="P132" s="34">
        <f>(M132-'Processing costs'!G132)*100/9100</f>
        <v>37.736263736263737</v>
      </c>
      <c r="Q132" s="34">
        <f>(N132-'Processing costs'!H132)*100/16700</f>
        <v>1.6823554962613636</v>
      </c>
      <c r="R132" s="34">
        <f>(O132-'Processing costs'!I132)*100/205000</f>
        <v>2.6863414634146343</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4"/>
        <v>42.160773340234179</v>
      </c>
      <c r="D133" s="37">
        <f t="shared" ref="D133" si="107">P133+Q133+R133</f>
        <v>41.503896562002637</v>
      </c>
      <c r="E133" s="35"/>
      <c r="F133" s="38">
        <v>6050</v>
      </c>
      <c r="G133" s="38">
        <v>1990</v>
      </c>
      <c r="H133" s="38">
        <v>823</v>
      </c>
      <c r="I133" s="37">
        <f>(F133-'Processing costs'!C133)*100/19900</f>
        <v>28.678391959798994</v>
      </c>
      <c r="J133" s="37">
        <f>((G133-103)-'Processing costs'!E133)*100/203600</f>
        <v>0.6517681728880157</v>
      </c>
      <c r="K133" s="37">
        <f>(G133-'Processing costs'!D133-H133*8.5%)*100/10600</f>
        <v>12.83061320754717</v>
      </c>
      <c r="L133" s="35"/>
      <c r="M133" s="38">
        <v>3830</v>
      </c>
      <c r="N133" s="38">
        <f>958.78/1.154</f>
        <v>830.83188908145587</v>
      </c>
      <c r="O133" s="38">
        <f>F133-300</f>
        <v>5750</v>
      </c>
      <c r="P133" s="37">
        <f>(M133-'Processing costs'!G133)*100/9100</f>
        <v>37.07692307692308</v>
      </c>
      <c r="Q133" s="37">
        <f>(N133-'Processing costs'!H133)*100/16700</f>
        <v>1.7894125094697957</v>
      </c>
      <c r="R133" s="37">
        <f>(O133-'Processing costs'!I133)*100/205000</f>
        <v>2.6375609756097562</v>
      </c>
    </row>
    <row r="134" spans="1:45" x14ac:dyDescent="0.35">
      <c r="A134" s="91" t="s">
        <v>53</v>
      </c>
      <c r="B134" s="41">
        <v>45901</v>
      </c>
      <c r="C134" s="34">
        <f t="shared" si="104"/>
        <v>38.781496727716878</v>
      </c>
      <c r="D134" s="34">
        <f>P134+Q134+R134</f>
        <v>36.826536988393791</v>
      </c>
      <c r="E134" s="35"/>
      <c r="F134" s="36">
        <v>5540</v>
      </c>
      <c r="G134" s="36">
        <v>1910</v>
      </c>
      <c r="H134" s="36">
        <v>851</v>
      </c>
      <c r="I134" s="34">
        <f>(F134-'Processing costs'!C134)*100/19900</f>
        <v>26.115577889447238</v>
      </c>
      <c r="J134" s="34">
        <f>((G134-103)-'Processing costs'!E134)*100/203600</f>
        <v>0.61247544204322202</v>
      </c>
      <c r="K134" s="34">
        <f>(G134-'Processing costs'!D134-H134*8.5%)*100/10600</f>
        <v>12.053443396226415</v>
      </c>
      <c r="L134" s="35"/>
      <c r="M134" s="36">
        <v>3420</v>
      </c>
      <c r="N134" s="36">
        <f>972/1.1521</f>
        <v>843.67676416977702</v>
      </c>
      <c r="O134" s="36">
        <f>F134-300</f>
        <v>5240</v>
      </c>
      <c r="P134" s="34">
        <f>(M134-'Processing costs'!G134)*100/9100</f>
        <v>32.571428571428569</v>
      </c>
      <c r="Q134" s="34">
        <f>(N134-'Processing costs'!H134)*100/16700</f>
        <v>1.8663279291603414</v>
      </c>
      <c r="R134" s="34">
        <f>(O134-'Processing costs'!I134)*100/205000</f>
        <v>2.3887804878048779</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5">
      <c r="A135" s="91"/>
      <c r="B135" s="42">
        <v>45931</v>
      </c>
      <c r="C135" s="37">
        <f t="shared" ref="C135" si="108">I135+J135+K135</f>
        <v>33.556203233240005</v>
      </c>
      <c r="D135" s="37">
        <f>P135+Q135+R135</f>
        <v>33.062247170092945</v>
      </c>
      <c r="E135" s="35"/>
      <c r="F135" s="38">
        <v>4680</v>
      </c>
      <c r="G135" s="38">
        <v>1820</v>
      </c>
      <c r="H135" s="38">
        <v>864</v>
      </c>
      <c r="I135" s="37">
        <f>(F135-'Processing costs'!C135)*100/19900</f>
        <v>21.793969849246231</v>
      </c>
      <c r="J135" s="37">
        <f>((G135-103)-'Processing costs'!E135)*100/203600</f>
        <v>0.56827111984282908</v>
      </c>
      <c r="K135" s="37">
        <f>(G135-'Processing costs'!D135-H135*8.5%)*100/10600</f>
        <v>11.193962264150944</v>
      </c>
      <c r="L135" s="35"/>
      <c r="M135" s="38">
        <v>3110</v>
      </c>
      <c r="N135" s="38">
        <v>854</v>
      </c>
      <c r="O135" s="38">
        <f>F135-300</f>
        <v>4380</v>
      </c>
      <c r="P135" s="37">
        <f>(M135-'Processing costs'!G135)*100/9100</f>
        <v>29.164835164835164</v>
      </c>
      <c r="Q135" s="37">
        <f>(N135-'Processing costs'!H135)*100/16700</f>
        <v>1.9281437125748504</v>
      </c>
      <c r="R135" s="37">
        <f>(O135-'Processing costs'!I135)*100/205000</f>
        <v>1.9692682926829268</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s="16" customFormat="1" x14ac:dyDescent="0.3">
      <c r="B136" s="93"/>
      <c r="C136" s="94"/>
      <c r="D136" s="94"/>
      <c r="E136" s="35"/>
      <c r="F136" s="95"/>
      <c r="G136" s="95"/>
      <c r="H136" s="95"/>
      <c r="I136" s="94"/>
      <c r="J136" s="94"/>
      <c r="K136" s="94"/>
      <c r="L136" s="35"/>
      <c r="M136" s="95"/>
      <c r="N136" s="95"/>
      <c r="O136" s="95"/>
      <c r="P136" s="94"/>
      <c r="Q136" s="94"/>
      <c r="R136" s="94"/>
    </row>
    <row r="137" spans="1:45" x14ac:dyDescent="0.3">
      <c r="A137" s="16" t="s">
        <v>58</v>
      </c>
      <c r="B137" s="16"/>
      <c r="C137" s="16"/>
      <c r="D137" s="16"/>
      <c r="E137" s="16"/>
      <c r="F137" s="24"/>
      <c r="G137" s="24"/>
      <c r="H137" s="24"/>
      <c r="I137" s="24"/>
      <c r="J137" s="24"/>
      <c r="K137" s="24"/>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B138" s="16"/>
      <c r="C138" s="16"/>
      <c r="D138" s="16"/>
      <c r="E138" s="16"/>
      <c r="F138" s="24"/>
      <c r="G138" s="24"/>
      <c r="H138" s="24"/>
      <c r="I138" s="24"/>
      <c r="J138" s="24"/>
      <c r="K138" s="24"/>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B139" s="16"/>
      <c r="C139" s="16"/>
      <c r="D139" s="16"/>
      <c r="E139" s="16"/>
      <c r="F139" s="24"/>
      <c r="G139" s="24"/>
      <c r="H139" s="24"/>
      <c r="I139" s="24"/>
      <c r="J139" s="24"/>
      <c r="K139" s="24"/>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t="e">
        <f>#REF!-#REF!</f>
        <v>#REF!</v>
      </c>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F229" s="25"/>
      <c r="G229" s="25"/>
      <c r="H229" s="25"/>
      <c r="I229" s="25"/>
      <c r="J229" s="25"/>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F230" s="25"/>
      <c r="G230" s="25"/>
      <c r="H230" s="25"/>
      <c r="I230" s="25"/>
      <c r="J230" s="25"/>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5"/>
      <c r="G231" s="25"/>
      <c r="H231" s="25"/>
      <c r="I231" s="25"/>
      <c r="J231" s="25"/>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5"/>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5"/>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5"/>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2"/>
  <sheetViews>
    <sheetView showGridLines="0" zoomScaleNormal="100" zoomScaleSheetLayoutView="143" zoomScalePageLayoutView="123" workbookViewId="0">
      <pane xSplit="2" ySplit="8" topLeftCell="C130" activePane="bottomRight" state="frozen"/>
      <selection activeCell="B107" sqref="B107"/>
      <selection pane="topRight" activeCell="B107" sqref="B107"/>
      <selection pane="bottomLeft" activeCell="B107" sqref="B107"/>
      <selection pane="bottomRight" activeCell="A5" sqref="A5"/>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62</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8" t="s">
        <v>51</v>
      </c>
      <c r="D6" s="99"/>
      <c r="E6" s="99"/>
      <c r="F6" s="16"/>
      <c r="G6" s="100" t="s">
        <v>52</v>
      </c>
      <c r="H6" s="101"/>
      <c r="I6" s="101"/>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1" spans="1:36" x14ac:dyDescent="0.3">
      <c r="B131" s="42">
        <v>45809</v>
      </c>
      <c r="C131" s="38">
        <v>343</v>
      </c>
      <c r="D131" s="38">
        <v>560</v>
      </c>
      <c r="E131" s="38">
        <v>560</v>
      </c>
      <c r="F131" s="35"/>
      <c r="G131" s="38">
        <v>456</v>
      </c>
      <c r="H131" s="38">
        <v>532</v>
      </c>
      <c r="I131" s="38">
        <v>343</v>
      </c>
    </row>
    <row r="132" spans="1:36" x14ac:dyDescent="0.3">
      <c r="B132" s="41">
        <v>45839</v>
      </c>
      <c r="C132" s="36">
        <v>343</v>
      </c>
      <c r="D132" s="36">
        <v>560</v>
      </c>
      <c r="E132" s="36">
        <v>560</v>
      </c>
      <c r="G132" s="36">
        <v>456</v>
      </c>
      <c r="H132" s="36">
        <v>532</v>
      </c>
      <c r="I132" s="36">
        <v>343</v>
      </c>
    </row>
    <row r="133" spans="1:36" x14ac:dyDescent="0.3">
      <c r="B133" s="42">
        <v>45870</v>
      </c>
      <c r="C133" s="38">
        <v>343</v>
      </c>
      <c r="D133" s="38">
        <v>560</v>
      </c>
      <c r="E133" s="38">
        <v>560</v>
      </c>
      <c r="F133" s="35"/>
      <c r="G133" s="38">
        <v>456</v>
      </c>
      <c r="H133" s="38">
        <v>532</v>
      </c>
      <c r="I133" s="38">
        <v>343</v>
      </c>
    </row>
    <row r="134" spans="1:36" x14ac:dyDescent="0.3">
      <c r="B134" s="41">
        <v>45901</v>
      </c>
      <c r="C134" s="36">
        <v>343</v>
      </c>
      <c r="D134" s="36">
        <v>560</v>
      </c>
      <c r="E134" s="36">
        <v>560</v>
      </c>
      <c r="G134" s="36">
        <v>456</v>
      </c>
      <c r="H134" s="36">
        <v>532</v>
      </c>
      <c r="I134" s="36">
        <v>343</v>
      </c>
    </row>
    <row r="135" spans="1:36" x14ac:dyDescent="0.3">
      <c r="B135" s="42">
        <v>45931</v>
      </c>
      <c r="C135" s="38">
        <v>343</v>
      </c>
      <c r="D135" s="38">
        <v>560</v>
      </c>
      <c r="E135" s="38">
        <v>560</v>
      </c>
      <c r="F135" s="35"/>
      <c r="G135" s="38">
        <v>456</v>
      </c>
      <c r="H135" s="38">
        <v>532</v>
      </c>
      <c r="I135" s="38">
        <v>343</v>
      </c>
    </row>
    <row r="137" spans="1:36" x14ac:dyDescent="0.3">
      <c r="A137" s="16" t="s">
        <v>54</v>
      </c>
      <c r="B137" s="16"/>
      <c r="C137" s="24"/>
      <c r="D137" s="24"/>
      <c r="E137" s="24"/>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row>
    <row r="138" spans="1:36" x14ac:dyDescent="0.3">
      <c r="A138" s="16" t="s">
        <v>55</v>
      </c>
      <c r="B138" s="16"/>
      <c r="C138" s="24"/>
      <c r="D138" s="24"/>
      <c r="E138" s="24"/>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row>
    <row r="139" spans="1:36" x14ac:dyDescent="0.3">
      <c r="B139" s="16"/>
      <c r="C139" s="24"/>
      <c r="D139" s="24"/>
      <c r="E139" s="24"/>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row>
    <row r="140" spans="1:36" x14ac:dyDescent="0.3">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C232" s="25"/>
      <c r="D232" s="25"/>
      <c r="E232" s="25"/>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5"/>
      <c r="D233" s="25"/>
      <c r="E233" s="25"/>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5"/>
      <c r="D234" s="25"/>
      <c r="E234" s="25"/>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8" t="s">
        <v>25</v>
      </c>
      <c r="G6" s="99"/>
      <c r="H6" s="99"/>
      <c r="I6" s="99"/>
      <c r="J6" s="99"/>
      <c r="K6" s="16"/>
      <c r="L6" s="100" t="s">
        <v>26</v>
      </c>
      <c r="M6" s="101"/>
      <c r="N6" s="101"/>
      <c r="O6" s="101"/>
      <c r="P6" s="101"/>
      <c r="Q6" s="101"/>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2" t="s">
        <v>1</v>
      </c>
      <c r="D8" s="103"/>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topLeftCell="A13" zoomScale="110" zoomScaleNormal="110" workbookViewId="0">
      <selection activeCell="J13" sqref="J13"/>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5"/>
      <c r="C2" s="109" t="s">
        <v>47</v>
      </c>
      <c r="D2" s="109"/>
      <c r="E2" s="109"/>
      <c r="F2" s="44"/>
      <c r="G2" s="45" t="s">
        <v>10</v>
      </c>
    </row>
    <row r="3" spans="1:17" ht="15" customHeight="1" x14ac:dyDescent="0.25">
      <c r="B3" s="106"/>
      <c r="C3" s="46" t="s">
        <v>2</v>
      </c>
      <c r="D3" s="46" t="s">
        <v>5</v>
      </c>
      <c r="E3" s="80" t="s">
        <v>3</v>
      </c>
      <c r="F3" s="19" t="s">
        <v>45</v>
      </c>
      <c r="G3" s="47">
        <f>B4</f>
        <v>45870</v>
      </c>
    </row>
    <row r="4" spans="1:17" ht="15.5" x14ac:dyDescent="0.25">
      <c r="B4" s="48">
        <v>45870</v>
      </c>
      <c r="C4" s="49">
        <f>VLOOKUP($B4,'AMPE-MCVE'!$B:$K,8,FALSE)</f>
        <v>28.678391959798994</v>
      </c>
      <c r="D4" s="49">
        <f>VLOOKUP($B4,'AMPE-MCVE'!$B:$K,9,FALSE)</f>
        <v>0.6517681728880157</v>
      </c>
      <c r="E4" s="49">
        <f>VLOOKUP($B4,'AMPE-MCVE'!$B:$K,10,FALSE)</f>
        <v>12.83061320754717</v>
      </c>
      <c r="F4" s="50">
        <f>VLOOKUP($B4,'AMPE-MCVE'!$B:$D,2,FALSE)</f>
        <v>42.160773340234179</v>
      </c>
      <c r="G4" s="49"/>
      <c r="P4" s="78"/>
      <c r="Q4" s="78"/>
    </row>
    <row r="5" spans="1:17" ht="15.5" x14ac:dyDescent="0.25">
      <c r="B5" s="51">
        <f>EDATE(B4,-1)</f>
        <v>45839</v>
      </c>
      <c r="C5" s="52">
        <f>VLOOKUP($B5,'AMPE-MCVE'!$B:$K,8,FALSE)</f>
        <v>29.180904522613066</v>
      </c>
      <c r="D5" s="52">
        <f>VLOOKUP($B5,'AMPE-MCVE'!$B:$K,9,FALSE)</f>
        <v>0.64194499017681728</v>
      </c>
      <c r="E5" s="52">
        <f>VLOOKUP($B5,'AMPE-MCVE'!$B:$K,10,FALSE)</f>
        <v>12.646745283018868</v>
      </c>
      <c r="F5" s="53">
        <f>VLOOKUP($B5,'AMPE-MCVE'!$B:$D,2,FALSE)</f>
        <v>42.469594795808753</v>
      </c>
      <c r="G5" s="70">
        <f>($F$4-F5)/F5</f>
        <v>-7.271589405535149E-3</v>
      </c>
      <c r="P5" s="78"/>
      <c r="Q5" s="78"/>
    </row>
    <row r="6" spans="1:17" ht="15.5" x14ac:dyDescent="0.25">
      <c r="B6" s="54">
        <f>EDATE(B4,-12)</f>
        <v>45505</v>
      </c>
      <c r="C6" s="49">
        <f>VLOOKUP($B6,'AMPE-MCVE'!$B:$K,8,FALSE)</f>
        <v>28.934673366834172</v>
      </c>
      <c r="D6" s="49">
        <f>VLOOKUP($B6,'AMPE-MCVE'!$B:$K,9,FALSE)</f>
        <v>0.65962671905697445</v>
      </c>
      <c r="E6" s="49">
        <f>VLOOKUP($B6,'AMPE-MCVE'!$B:$K,10,FALSE)</f>
        <v>13.09061320754717</v>
      </c>
      <c r="F6" s="50">
        <f>VLOOKUP($B6,'AMPE-MCVE'!$B:$D,2,FALSE)</f>
        <v>42.684913293438314</v>
      </c>
      <c r="G6" s="55">
        <f>($F$4-F6)/F6</f>
        <v>-1.2279278854355948E-2</v>
      </c>
      <c r="P6" s="78"/>
      <c r="Q6" s="78"/>
    </row>
    <row r="7" spans="1:17" ht="15.5" x14ac:dyDescent="0.25">
      <c r="B7" s="56"/>
      <c r="C7" s="57"/>
      <c r="D7" s="57"/>
      <c r="E7" s="57"/>
      <c r="F7" s="58"/>
      <c r="G7" s="59"/>
      <c r="P7" s="78"/>
      <c r="Q7" s="78"/>
    </row>
    <row r="8" spans="1:17" ht="15.5" x14ac:dyDescent="0.35">
      <c r="B8" s="105"/>
      <c r="C8" s="104" t="s">
        <v>48</v>
      </c>
      <c r="D8" s="104"/>
      <c r="E8" s="104"/>
      <c r="F8" s="60"/>
      <c r="G8" s="45" t="s">
        <v>10</v>
      </c>
      <c r="P8" s="78"/>
      <c r="Q8" s="78"/>
    </row>
    <row r="9" spans="1:17" ht="15.5" x14ac:dyDescent="0.25">
      <c r="B9" s="106"/>
      <c r="C9" s="46" t="s">
        <v>7</v>
      </c>
      <c r="D9" s="46" t="s">
        <v>9</v>
      </c>
      <c r="E9" s="46" t="s">
        <v>8</v>
      </c>
      <c r="F9" s="19" t="s">
        <v>46</v>
      </c>
      <c r="G9" s="47">
        <f>B10</f>
        <v>45870</v>
      </c>
      <c r="P9" s="78"/>
      <c r="Q9" s="78"/>
    </row>
    <row r="10" spans="1:17" ht="15.5" x14ac:dyDescent="0.25">
      <c r="B10" s="48">
        <f>B4</f>
        <v>45870</v>
      </c>
      <c r="C10" s="49">
        <f>VLOOKUP($B10,'AMPE-MCVE'!$B:$R,15,FALSE)</f>
        <v>37.07692307692308</v>
      </c>
      <c r="D10" s="49">
        <f>VLOOKUP($B10,'AMPE-MCVE'!$B:$R,16,FALSE)</f>
        <v>1.7894125094697957</v>
      </c>
      <c r="E10" s="49">
        <f>VLOOKUP($B10,'AMPE-MCVE'!$B:$R,17,FALSE)</f>
        <v>2.6375609756097562</v>
      </c>
      <c r="F10" s="50">
        <f>VLOOKUP($B10,'AMPE-MCVE'!$B:$D,3,FALSE)</f>
        <v>41.503896562002637</v>
      </c>
      <c r="G10" s="49"/>
    </row>
    <row r="11" spans="1:17" ht="15.5" x14ac:dyDescent="0.25">
      <c r="B11" s="51">
        <f>B5</f>
        <v>45839</v>
      </c>
      <c r="C11" s="52">
        <f>VLOOKUP($B11,'AMPE-MCVE'!$B:$R,15,FALSE)</f>
        <v>37.736263736263737</v>
      </c>
      <c r="D11" s="52">
        <f>VLOOKUP($B11,'AMPE-MCVE'!$B:$R,16,FALSE)</f>
        <v>1.6823554962613636</v>
      </c>
      <c r="E11" s="52">
        <f>VLOOKUP($B11,'AMPE-MCVE'!$B:$R,17,FALSE)</f>
        <v>2.6863414634146343</v>
      </c>
      <c r="F11" s="53">
        <f>VLOOKUP($B11,'AMPE-MCVE'!$B:$D,3,FALSE)</f>
        <v>42.104960695939738</v>
      </c>
      <c r="G11" s="70">
        <f>($F$10-F11)/F11</f>
        <v>-1.4275375727759849E-2</v>
      </c>
    </row>
    <row r="12" spans="1:17" ht="15.5" x14ac:dyDescent="0.25">
      <c r="B12" s="54">
        <f>B6</f>
        <v>45505</v>
      </c>
      <c r="C12" s="49">
        <f>VLOOKUP($B12,'AMPE-MCVE'!$B:$R,15,FALSE)</f>
        <v>37.439560439560438</v>
      </c>
      <c r="D12" s="49">
        <f>VLOOKUP($B12,'AMPE-MCVE'!$B:$R,16,FALSE)</f>
        <v>0.84457728437233126</v>
      </c>
      <c r="E12" s="49">
        <f>VLOOKUP($B12,'AMPE-MCVE'!$B:$R,17,FALSE)</f>
        <v>2.662439024390244</v>
      </c>
      <c r="F12" s="50">
        <f>VLOOKUP($B12,'AMPE-MCVE'!$B:$D,3,FALSE)</f>
        <v>40.946576748323018</v>
      </c>
      <c r="G12" s="55">
        <f>($F$10-F12)/F12</f>
        <v>1.3610901275219413E-2</v>
      </c>
    </row>
    <row r="13" spans="1:17" ht="15.5" x14ac:dyDescent="0.35">
      <c r="B13" s="61" t="s">
        <v>11</v>
      </c>
      <c r="C13" s="57"/>
      <c r="D13" s="62"/>
      <c r="E13" s="62"/>
      <c r="F13" s="62"/>
      <c r="G13" s="62"/>
    </row>
    <row r="16" spans="1:17" ht="13" hidden="1" x14ac:dyDescent="0.3">
      <c r="A16" s="73">
        <v>2014</v>
      </c>
      <c r="B16" s="86" t="s">
        <v>57</v>
      </c>
    </row>
    <row r="17" spans="2:7" ht="15.5" hidden="1" x14ac:dyDescent="0.35">
      <c r="B17" s="105"/>
      <c r="C17" s="104" t="s">
        <v>31</v>
      </c>
      <c r="D17" s="104"/>
      <c r="E17" s="104"/>
      <c r="F17" s="44"/>
      <c r="G17" s="45" t="s">
        <v>10</v>
      </c>
    </row>
    <row r="18" spans="2:7" ht="15.5" hidden="1" x14ac:dyDescent="0.25">
      <c r="B18" s="106"/>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5"/>
      <c r="C23" s="104" t="s">
        <v>32</v>
      </c>
      <c r="D23" s="104"/>
      <c r="E23" s="104"/>
      <c r="F23" s="60"/>
      <c r="G23" s="45" t="s">
        <v>10</v>
      </c>
    </row>
    <row r="24" spans="2:7" ht="12.75" hidden="1" customHeight="1" x14ac:dyDescent="0.25">
      <c r="B24" s="106"/>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7" t="s">
        <v>43</v>
      </c>
      <c r="D31" s="104"/>
      <c r="E31" s="108"/>
    </row>
    <row r="32" spans="2:7" ht="15.5" x14ac:dyDescent="0.25">
      <c r="C32" s="46"/>
      <c r="D32" s="46" t="s">
        <v>1</v>
      </c>
      <c r="E32" s="46" t="s">
        <v>44</v>
      </c>
    </row>
    <row r="33" spans="1:6" ht="15.5" x14ac:dyDescent="0.25">
      <c r="C33" s="48">
        <f t="shared" ref="C33:C36" si="0">EDATE(C34,-1)</f>
        <v>45717</v>
      </c>
      <c r="D33" s="79">
        <f>VLOOKUP($C33,MMV!$B:$D,2,FALSE)</f>
        <v>43.779145115428918</v>
      </c>
      <c r="E33" s="79">
        <f>VLOOKUP($C33,MMV!$B:$D,3,FALSE)</f>
        <v>0.78320799625232951</v>
      </c>
    </row>
    <row r="34" spans="1:6" ht="15.5" x14ac:dyDescent="0.25">
      <c r="A34" s="3"/>
      <c r="C34" s="51">
        <f t="shared" si="0"/>
        <v>45748</v>
      </c>
      <c r="D34" s="52">
        <f>VLOOKUP($C34,MMV!$B:$D,2,FALSE)</f>
        <v>43.540502303456613</v>
      </c>
      <c r="E34" s="52">
        <f>VLOOKUP($C34,MMV!$B:$D,3,FALSE)</f>
        <v>-0.23864281197230497</v>
      </c>
    </row>
    <row r="35" spans="1:6" ht="15.5" x14ac:dyDescent="0.25">
      <c r="C35" s="48">
        <f t="shared" si="0"/>
        <v>45778</v>
      </c>
      <c r="D35" s="49">
        <f>VLOOKUP($C35,MMV!$B:$D,2,FALSE)</f>
        <v>42.770077285426623</v>
      </c>
      <c r="E35" s="49">
        <f>VLOOKUP($C35,MMV!$B:$D,3,FALSE)</f>
        <v>-0.77042501802998942</v>
      </c>
    </row>
    <row r="36" spans="1:6" ht="15.5" x14ac:dyDescent="0.25">
      <c r="C36" s="51">
        <f t="shared" si="0"/>
        <v>45809</v>
      </c>
      <c r="D36" s="52">
        <f>VLOOKUP($C36,MMV!$B:$D,2,FALSE)</f>
        <v>42.45307398822326</v>
      </c>
      <c r="E36" s="52">
        <f>VLOOKUP($C36,MMV!$B:$D,3,FALSE)</f>
        <v>-0.31700329720336384</v>
      </c>
    </row>
    <row r="37" spans="1:6" ht="15.5" x14ac:dyDescent="0.25">
      <c r="C37" s="48">
        <f>EDATE(C38,-1)</f>
        <v>45839</v>
      </c>
      <c r="D37" s="49">
        <f>VLOOKUP($C37,MMV!$B:$D,2,FALSE)</f>
        <v>42.177887515913547</v>
      </c>
      <c r="E37" s="49">
        <f>VLOOKUP($C37,MMV!$B:$D,3,FALSE)</f>
        <v>-0.27518647230971283</v>
      </c>
    </row>
    <row r="38" spans="1:6" ht="15.5" x14ac:dyDescent="0.25">
      <c r="C38" s="51">
        <f>B4</f>
        <v>45870</v>
      </c>
      <c r="D38" s="52">
        <f>VLOOKUP($C38,MMV!$B:$D,2,FALSE)</f>
        <v>41.635271917648943</v>
      </c>
      <c r="E38" s="52">
        <f>VLOOKUP($C38,MMV!$B:$D,3,FALSE)</f>
        <v>-0.5426155982646037</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89" zoomScaleNormal="110" workbookViewId="0">
      <selection activeCell="Y21" sqref="Y21"/>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showGridLines="0" zoomScaleNormal="100" workbookViewId="0">
      <selection activeCell="A9" sqref="A9:K9"/>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0" t="s">
        <v>39</v>
      </c>
      <c r="B4" s="110"/>
      <c r="C4" s="110"/>
      <c r="D4" s="110"/>
      <c r="E4" s="110"/>
      <c r="F4" s="110"/>
      <c r="G4" s="110"/>
      <c r="H4" s="110"/>
      <c r="I4" s="110"/>
      <c r="J4" s="110"/>
      <c r="K4" s="110"/>
    </row>
    <row r="5" spans="1:11" s="27" customFormat="1" ht="34.5" customHeight="1" x14ac:dyDescent="0.3">
      <c r="A5" s="110"/>
      <c r="B5" s="110"/>
      <c r="C5" s="110"/>
      <c r="D5" s="110"/>
      <c r="E5" s="110"/>
      <c r="F5" s="110"/>
      <c r="G5" s="110"/>
      <c r="H5" s="110"/>
      <c r="I5" s="110"/>
      <c r="J5" s="110"/>
      <c r="K5" s="110"/>
    </row>
    <row r="6" spans="1:11" s="27" customFormat="1" ht="34.5" customHeight="1" x14ac:dyDescent="0.3">
      <c r="A6" s="119" t="s">
        <v>64</v>
      </c>
      <c r="B6" s="119"/>
      <c r="C6" s="119"/>
      <c r="D6" s="119"/>
      <c r="E6" s="119"/>
      <c r="F6" s="119"/>
      <c r="G6" s="119"/>
      <c r="H6" s="119"/>
      <c r="I6" s="119"/>
      <c r="J6" s="119"/>
      <c r="K6" s="92"/>
    </row>
    <row r="7" spans="1:11" s="29" customFormat="1" ht="21" customHeight="1" x14ac:dyDescent="0.35">
      <c r="A7" s="29" t="s">
        <v>34</v>
      </c>
    </row>
    <row r="8" spans="1:11" s="29" customFormat="1" ht="21" customHeight="1" x14ac:dyDescent="0.35">
      <c r="A8" s="90" t="s">
        <v>60</v>
      </c>
    </row>
    <row r="9" spans="1:11" s="27" customFormat="1" ht="51" customHeight="1" x14ac:dyDescent="0.3">
      <c r="A9" s="111" t="s">
        <v>20</v>
      </c>
      <c r="B9" s="111"/>
      <c r="C9" s="111"/>
      <c r="D9" s="111"/>
      <c r="E9" s="111"/>
      <c r="F9" s="111"/>
      <c r="G9" s="111"/>
      <c r="H9" s="111"/>
      <c r="I9" s="111"/>
      <c r="J9" s="111"/>
      <c r="K9" s="111"/>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3" t="s">
        <v>12</v>
      </c>
      <c r="B13" s="113"/>
      <c r="C13" s="113"/>
      <c r="D13" s="113"/>
      <c r="E13" s="113"/>
      <c r="F13" s="113"/>
      <c r="G13" s="113"/>
      <c r="H13" s="113"/>
      <c r="I13" s="113"/>
      <c r="J13" s="113"/>
      <c r="K13" s="113"/>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4" t="s">
        <v>13</v>
      </c>
      <c r="B16" s="114"/>
      <c r="C16" s="114"/>
      <c r="D16" s="114"/>
      <c r="E16" s="114"/>
      <c r="F16" s="114"/>
      <c r="G16" s="114"/>
      <c r="H16" s="114"/>
      <c r="I16" s="114"/>
      <c r="J16" s="114"/>
      <c r="K16" s="114"/>
    </row>
    <row r="17" spans="1:11" s="30" customFormat="1" ht="13.4" customHeight="1" x14ac:dyDescent="0.3">
      <c r="A17" s="114"/>
      <c r="B17" s="114"/>
      <c r="C17" s="114"/>
      <c r="D17" s="114"/>
      <c r="E17" s="114"/>
      <c r="F17" s="114"/>
      <c r="G17" s="114"/>
      <c r="H17" s="114"/>
      <c r="I17" s="114"/>
      <c r="J17" s="114"/>
      <c r="K17" s="114"/>
    </row>
    <row r="18" spans="1:11" s="30" customFormat="1" ht="13.4" customHeight="1" x14ac:dyDescent="0.3">
      <c r="A18" s="114"/>
      <c r="B18" s="114"/>
      <c r="C18" s="114"/>
      <c r="D18" s="114"/>
      <c r="E18" s="114"/>
      <c r="F18" s="114"/>
      <c r="G18" s="114"/>
      <c r="H18" s="114"/>
      <c r="I18" s="114"/>
      <c r="J18" s="114"/>
      <c r="K18" s="114"/>
    </row>
    <row r="19" spans="1:11" s="30" customFormat="1" ht="13.4" customHeight="1" x14ac:dyDescent="0.3">
      <c r="A19" s="114"/>
      <c r="B19" s="114"/>
      <c r="C19" s="114"/>
      <c r="D19" s="114"/>
      <c r="E19" s="114"/>
      <c r="F19" s="114"/>
      <c r="G19" s="114"/>
      <c r="H19" s="114"/>
      <c r="I19" s="114"/>
      <c r="J19" s="114"/>
      <c r="K19" s="114"/>
    </row>
    <row r="20" spans="1:11" s="30" customFormat="1" x14ac:dyDescent="0.3">
      <c r="A20" s="114"/>
      <c r="B20" s="114"/>
      <c r="C20" s="114"/>
      <c r="D20" s="114"/>
      <c r="E20" s="114"/>
      <c r="F20" s="114"/>
      <c r="G20" s="114"/>
      <c r="H20" s="114"/>
      <c r="I20" s="114"/>
      <c r="J20" s="114"/>
      <c r="K20" s="114"/>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4"/>
      <c r="B22" s="114"/>
      <c r="C22" s="114"/>
      <c r="D22" s="114"/>
      <c r="E22" s="114"/>
      <c r="F22" s="114"/>
      <c r="G22" s="114"/>
      <c r="H22" s="114"/>
      <c r="I22" s="114"/>
      <c r="J22" s="114"/>
      <c r="K22" s="114"/>
    </row>
    <row r="23" spans="1:11" s="30" customFormat="1" ht="15" customHeight="1" x14ac:dyDescent="0.3">
      <c r="A23" s="114" t="s">
        <v>61</v>
      </c>
      <c r="B23" s="114"/>
      <c r="C23" s="114"/>
      <c r="D23" s="114"/>
      <c r="E23" s="114"/>
      <c r="F23" s="114"/>
      <c r="G23" s="114"/>
      <c r="H23" s="114"/>
      <c r="I23" s="114"/>
      <c r="J23" s="114"/>
      <c r="K23" s="114"/>
    </row>
    <row r="24" spans="1:11" ht="15" customHeight="1" thickBot="1" x14ac:dyDescent="0.35">
      <c r="A24" s="65"/>
      <c r="B24" s="65"/>
      <c r="C24" s="65"/>
      <c r="D24" s="65"/>
      <c r="E24" s="65"/>
      <c r="F24" s="65"/>
      <c r="G24" s="65"/>
      <c r="H24" s="65"/>
      <c r="I24" s="65"/>
      <c r="J24" s="65"/>
      <c r="K24" s="65"/>
    </row>
    <row r="25" spans="1:11" x14ac:dyDescent="0.35">
      <c r="A25" s="113" t="s">
        <v>14</v>
      </c>
      <c r="B25" s="113"/>
      <c r="C25" s="113"/>
      <c r="D25" s="113"/>
      <c r="E25" s="113"/>
      <c r="F25" s="113"/>
      <c r="G25" s="113"/>
      <c r="H25" s="113"/>
      <c r="I25" s="113"/>
      <c r="J25" s="113"/>
      <c r="K25" s="113"/>
    </row>
    <row r="26" spans="1:11" ht="15" customHeight="1" x14ac:dyDescent="0.35">
      <c r="A26" s="64"/>
      <c r="B26" s="64"/>
      <c r="C26" s="64"/>
      <c r="D26" s="64"/>
      <c r="E26" s="64"/>
      <c r="F26" s="64"/>
      <c r="G26" s="64"/>
      <c r="H26" s="64"/>
      <c r="I26" s="64"/>
      <c r="J26" s="64"/>
      <c r="K26" s="64"/>
    </row>
    <row r="27" spans="1:11" x14ac:dyDescent="0.3">
      <c r="A27" s="115" t="s">
        <v>23</v>
      </c>
      <c r="B27" s="116" t="s">
        <v>59</v>
      </c>
      <c r="C27" s="117"/>
      <c r="D27" s="117"/>
      <c r="E27" s="117"/>
      <c r="F27" s="117"/>
      <c r="G27" s="117"/>
      <c r="H27" s="117"/>
      <c r="I27" s="117"/>
      <c r="J27" s="117"/>
      <c r="K27" s="117"/>
    </row>
    <row r="28" spans="1:11" x14ac:dyDescent="0.3">
      <c r="A28" s="115"/>
      <c r="B28" s="117"/>
      <c r="C28" s="117"/>
      <c r="D28" s="117"/>
      <c r="E28" s="117"/>
      <c r="F28" s="117"/>
      <c r="G28" s="117"/>
      <c r="H28" s="117"/>
      <c r="I28" s="117"/>
      <c r="J28" s="117"/>
      <c r="K28" s="117"/>
    </row>
    <row r="29" spans="1:11" x14ac:dyDescent="0.3">
      <c r="A29" s="65"/>
      <c r="B29" s="117"/>
      <c r="C29" s="117"/>
      <c r="D29" s="117"/>
      <c r="E29" s="117"/>
      <c r="F29" s="117"/>
      <c r="G29" s="117"/>
      <c r="H29" s="117"/>
      <c r="I29" s="117"/>
      <c r="J29" s="117"/>
      <c r="K29" s="117"/>
    </row>
    <row r="30" spans="1:11" x14ac:dyDescent="0.3">
      <c r="B30" s="117"/>
      <c r="C30" s="117"/>
      <c r="D30" s="117"/>
      <c r="E30" s="117"/>
      <c r="F30" s="117"/>
      <c r="G30" s="117"/>
      <c r="H30" s="117"/>
      <c r="I30" s="117"/>
      <c r="J30" s="117"/>
      <c r="K30" s="117"/>
    </row>
    <row r="31" spans="1:11" x14ac:dyDescent="0.3">
      <c r="B31" s="117"/>
      <c r="C31" s="117"/>
      <c r="D31" s="117"/>
      <c r="E31" s="117"/>
      <c r="F31" s="117"/>
      <c r="G31" s="117"/>
      <c r="H31" s="117"/>
      <c r="I31" s="117"/>
      <c r="J31" s="117"/>
      <c r="K31" s="117"/>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18" t="s">
        <v>19</v>
      </c>
      <c r="C34" s="118"/>
      <c r="D34" s="118"/>
      <c r="E34" s="118"/>
      <c r="F34" s="118"/>
      <c r="G34" s="118"/>
      <c r="H34" s="118"/>
      <c r="I34" s="118"/>
      <c r="J34" s="118"/>
      <c r="K34" s="118"/>
    </row>
    <row r="35" spans="1:11" ht="15" customHeight="1" thickBot="1" x14ac:dyDescent="0.35">
      <c r="A35" s="69"/>
      <c r="B35" s="112"/>
      <c r="C35" s="112"/>
      <c r="D35" s="112"/>
      <c r="E35" s="112"/>
      <c r="F35" s="112"/>
      <c r="G35" s="112"/>
      <c r="H35" s="112"/>
      <c r="I35" s="112"/>
      <c r="J35" s="112"/>
      <c r="K35" s="112"/>
    </row>
    <row r="43" spans="1:11" x14ac:dyDescent="0.3">
      <c r="A43" s="32"/>
      <c r="B43" s="32"/>
      <c r="C43" s="32"/>
      <c r="D43" s="32"/>
      <c r="E43" s="32"/>
      <c r="F43" s="32"/>
      <c r="G43" s="32"/>
      <c r="H43" s="32"/>
      <c r="I43" s="32"/>
      <c r="J43" s="32"/>
      <c r="K43" s="32"/>
    </row>
  </sheetData>
  <mergeCells count="12">
    <mergeCell ref="A4:K5"/>
    <mergeCell ref="A9:K9"/>
    <mergeCell ref="B35:K35"/>
    <mergeCell ref="A13:K13"/>
    <mergeCell ref="A16:K20"/>
    <mergeCell ref="A22:K22"/>
    <mergeCell ref="A23:K23"/>
    <mergeCell ref="A25:K25"/>
    <mergeCell ref="A27:A28"/>
    <mergeCell ref="B27:K31"/>
    <mergeCell ref="B34:K34"/>
    <mergeCell ref="A6:J6"/>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2025-10-23T17:25:33Z</dcterms:modified>
</cp:coreProperties>
</file>